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05" windowHeight="12390" activeTab="0"/>
  </bookViews>
  <sheets>
    <sheet name="2014" sheetId="1" r:id="rId1"/>
  </sheets>
  <definedNames>
    <definedName name="_xlnm.Print_Area" localSheetId="0">'2014'!$A$1:$M$79</definedName>
  </definedNames>
  <calcPr fullCalcOnLoad="1"/>
</workbook>
</file>

<file path=xl/sharedStrings.xml><?xml version="1.0" encoding="utf-8"?>
<sst xmlns="http://schemas.openxmlformats.org/spreadsheetml/2006/main" count="245" uniqueCount="142">
  <si>
    <t>№ пп</t>
  </si>
  <si>
    <t>Реконструкция КЛ-0,4 кВ</t>
  </si>
  <si>
    <t>Утверждаю</t>
  </si>
  <si>
    <t>ПРОЧИЕ</t>
  </si>
  <si>
    <t>Наименование  объекта</t>
  </si>
  <si>
    <t>Ед. изм.</t>
  </si>
  <si>
    <t>Кол-во</t>
  </si>
  <si>
    <t>в том числе:</t>
  </si>
  <si>
    <t>капитальных вложений МП  г. Абакана «Абаканские  электрические  сети»</t>
  </si>
  <si>
    <t>I</t>
  </si>
  <si>
    <t>Электросетевые объекты</t>
  </si>
  <si>
    <t>1.1.</t>
  </si>
  <si>
    <t>Реконструкция КЛ-10 кВ (прокладка новых КЛ-10 кВ в замен существующих)</t>
  </si>
  <si>
    <t>1.3.</t>
  </si>
  <si>
    <t>1.4.</t>
  </si>
  <si>
    <t>км</t>
  </si>
  <si>
    <t>Реконструкция ВЛ-0,4 кВ и строительство новых ВЛ-0,4 кВ</t>
  </si>
  <si>
    <t>шт</t>
  </si>
  <si>
    <t>1.5.</t>
  </si>
  <si>
    <t>II</t>
  </si>
  <si>
    <t>Реконструкция ТП-10/0,4 кВ и РП-10 кВ</t>
  </si>
  <si>
    <t>1.2</t>
  </si>
  <si>
    <t>Реконструкция ВЛ-10кВ</t>
  </si>
  <si>
    <t>2</t>
  </si>
  <si>
    <t>3</t>
  </si>
  <si>
    <t>4</t>
  </si>
  <si>
    <t>5</t>
  </si>
  <si>
    <t>6</t>
  </si>
  <si>
    <t>1</t>
  </si>
  <si>
    <t>шт/яч</t>
  </si>
  <si>
    <t>7</t>
  </si>
  <si>
    <t xml:space="preserve"> </t>
  </si>
  <si>
    <t>Совершенствование технологических процессов. Установка устройств компенсации реактивной мощности</t>
  </si>
  <si>
    <t>Энергосбережение в сетях МП АЭС</t>
  </si>
  <si>
    <t>ф. 28/16-347/8</t>
  </si>
  <si>
    <t>8</t>
  </si>
  <si>
    <t>9</t>
  </si>
  <si>
    <t>10</t>
  </si>
  <si>
    <t>11</t>
  </si>
  <si>
    <t>12</t>
  </si>
  <si>
    <t>13</t>
  </si>
  <si>
    <t>яч</t>
  </si>
  <si>
    <t>ТП-98-ТП-448</t>
  </si>
  <si>
    <t>01.04-25.06</t>
  </si>
  <si>
    <t>01.05-25.08</t>
  </si>
  <si>
    <t>01.06-25.09</t>
  </si>
  <si>
    <t>01.05-25.09</t>
  </si>
  <si>
    <t>01.06-25.10</t>
  </si>
  <si>
    <t>01.03-25.10</t>
  </si>
  <si>
    <t>15.01-25.12</t>
  </si>
  <si>
    <t>01.07-25.10</t>
  </si>
  <si>
    <t>ЦРП-291-ТП-378</t>
  </si>
  <si>
    <t>ТП-154-ТП-253</t>
  </si>
  <si>
    <t>ТП-322-ТП-167А</t>
  </si>
  <si>
    <t>ф. РП-2/12-153</t>
  </si>
  <si>
    <t>ПИР 2014-2015года</t>
  </si>
  <si>
    <t>Замена КЛ-0.4кВ от ТП-10/0.4кВ до жилых домов   в г. Абакане</t>
  </si>
  <si>
    <t>14</t>
  </si>
  <si>
    <t>15</t>
  </si>
  <si>
    <t>ТП-454 ф.2 ф.1 ф.4</t>
  </si>
  <si>
    <t>ТП-446 ф.1 ф3</t>
  </si>
  <si>
    <t>ТП-212 ф.22 ф.13</t>
  </si>
  <si>
    <t>ТП-395 ф.19</t>
  </si>
  <si>
    <t>ТП-469 ф.5.2 ф.8</t>
  </si>
  <si>
    <t>ТП-591 ф.2</t>
  </si>
  <si>
    <t>ТП-124 ф.3</t>
  </si>
  <si>
    <t xml:space="preserve">ТП-464 ф.1 ф.2, ф.3 </t>
  </si>
  <si>
    <t>ТП-424 ф.2 ф.3, ф.4</t>
  </si>
  <si>
    <t xml:space="preserve">ТП-389 ф.7 </t>
  </si>
  <si>
    <t>ТП-245 ф.4, 6, 9</t>
  </si>
  <si>
    <t>ТП-154 ф.11 ф.12</t>
  </si>
  <si>
    <t>ТП-440 ф.1, 3, 4</t>
  </si>
  <si>
    <t>ТП-82 - ул. Советская, 36 (4х120)</t>
  </si>
  <si>
    <t>ул. Советская, 36 - ул. Советская, 38 (4х120)</t>
  </si>
  <si>
    <t>ТП-82 - ул. Советская, 38 (4х120)</t>
  </si>
  <si>
    <t>ТП-86 - ул. Ленина, 79 (4х120)</t>
  </si>
  <si>
    <t>2.1</t>
  </si>
  <si>
    <t>2.2</t>
  </si>
  <si>
    <t>2.3</t>
  </si>
  <si>
    <t>2.4</t>
  </si>
  <si>
    <t>2.5</t>
  </si>
  <si>
    <t>2.6</t>
  </si>
  <si>
    <t>2.7</t>
  </si>
  <si>
    <t>ТП-82 - ул. Ленина, 73 (4х120)</t>
  </si>
  <si>
    <t>ТП-82 - ул. Ленина, 75 (4х120)</t>
  </si>
  <si>
    <t>ТП-86 - ул. Ленина, 77 (4х120)</t>
  </si>
  <si>
    <t>Реконструкция и модернизация энергетических установок. Замена трансформаторов на ТМГ-12</t>
  </si>
  <si>
    <t>21</t>
  </si>
  <si>
    <t>26</t>
  </si>
  <si>
    <t>Всего в ценах  2013г.</t>
  </si>
  <si>
    <t>ТП-500 ф.2 ф.3</t>
  </si>
  <si>
    <t>ТП-46 ф.9</t>
  </si>
  <si>
    <t>ф. 24/6-РП-7/4</t>
  </si>
  <si>
    <t>01.04-25.09</t>
  </si>
  <si>
    <t>Замена ТП-233 на КТП-233А и монтаж временной КТП-10/0.4кВ</t>
  </si>
  <si>
    <t>"_____" __________ 2014 г.</t>
  </si>
  <si>
    <t>2,66</t>
  </si>
  <si>
    <t xml:space="preserve">ТП-713-ТП-43; </t>
  </si>
  <si>
    <t>ТП-43 - выход на опору</t>
  </si>
  <si>
    <t>01.04-25.07</t>
  </si>
  <si>
    <t>Кабельные выходы на опоры от ВЛ-0,4 кВ до ТП-10/,04 кВ</t>
  </si>
  <si>
    <t>план</t>
  </si>
  <si>
    <t>факт</t>
  </si>
  <si>
    <t xml:space="preserve">план </t>
  </si>
  <si>
    <t>амортизация млн.руб. план</t>
  </si>
  <si>
    <t>амортизация млн.руб.          факт</t>
  </si>
  <si>
    <t>прибыль    млн. руб. план</t>
  </si>
  <si>
    <t>прибыль    млн. руб. факт</t>
  </si>
  <si>
    <t xml:space="preserve"> капитальные вложения на 2014 год</t>
  </si>
  <si>
    <t>16</t>
  </si>
  <si>
    <t>Отчет</t>
  </si>
  <si>
    <t>IV</t>
  </si>
  <si>
    <t>АИИСКУЭ</t>
  </si>
  <si>
    <t>III</t>
  </si>
  <si>
    <t>Телемеханика, развитие радио- и технологической связи (РТП-20, РТП-24)</t>
  </si>
  <si>
    <t>Выполнение, %</t>
  </si>
  <si>
    <r>
      <t xml:space="preserve">Монтаж микропроцесорной защиты(Типа БМРЗ-100) </t>
    </r>
    <r>
      <rPr>
        <sz val="10"/>
        <rFont val="Times New Roman"/>
        <family val="1"/>
      </rPr>
      <t>РП-19 (2.3.6.7.10.13.16), РТП-25(20.2.4.3.1.16.5)</t>
    </r>
  </si>
  <si>
    <t>Всего по МП  г. Абакана «Абаканские  электрические  сети»</t>
  </si>
  <si>
    <t>V</t>
  </si>
  <si>
    <t>VI</t>
  </si>
  <si>
    <t>СМР по технологическому присоединению</t>
  </si>
  <si>
    <t>СМР по тех.присоединению в счет выпадающих доходов</t>
  </si>
  <si>
    <t>Вне плана: перевод питания КЛ-0.4кВ с ТП-233 на КТП-233А, РТП-23 ф.15,29 до ПНС; РТП-23-Кирова.114</t>
  </si>
  <si>
    <t>Зам.директра по финансам- главный бухгалтер</t>
  </si>
  <si>
    <t>О.В. Гапон</t>
  </si>
  <si>
    <t>Приобретение информационно - вычислительной техники, автотехника.</t>
  </si>
  <si>
    <t>Зам.директра по экономике и тарифообразованию</t>
  </si>
  <si>
    <t>М.Ю. Пономаренко</t>
  </si>
  <si>
    <t>Директор  МП "АЭС"</t>
  </si>
  <si>
    <t>____________ В.В. Марков</t>
  </si>
  <si>
    <t xml:space="preserve">Реконструкция  ТП № 204(4), 134(4), 192(6), 158(4), 244(4) с заменой ячеек ГДР на КСО, замена ЛР на ВН  </t>
  </si>
  <si>
    <t>22</t>
  </si>
  <si>
    <t>27</t>
  </si>
  <si>
    <r>
      <t xml:space="preserve"> вне плана: </t>
    </r>
    <r>
      <rPr>
        <sz val="10"/>
        <color indexed="60"/>
        <rFont val="Times New Roman"/>
        <family val="1"/>
      </rPr>
      <t>ТП-456 ф.3</t>
    </r>
    <r>
      <rPr>
        <sz val="10"/>
        <color indexed="8"/>
        <rFont val="Times New Roman"/>
        <family val="1"/>
      </rPr>
      <t xml:space="preserve">; </t>
    </r>
    <r>
      <rPr>
        <sz val="10"/>
        <color indexed="60"/>
        <rFont val="Times New Roman"/>
        <family val="1"/>
      </rPr>
      <t>ТП-90 ф.2</t>
    </r>
    <r>
      <rPr>
        <sz val="10"/>
        <color indexed="8"/>
        <rFont val="Times New Roman"/>
        <family val="1"/>
      </rPr>
      <t xml:space="preserve">; </t>
    </r>
    <r>
      <rPr>
        <sz val="10"/>
        <color indexed="60"/>
        <rFont val="Times New Roman"/>
        <family val="1"/>
      </rPr>
      <t>ТП-23 ф.12</t>
    </r>
    <r>
      <rPr>
        <sz val="10"/>
        <color indexed="8"/>
        <rFont val="Times New Roman"/>
        <family val="1"/>
      </rPr>
      <t xml:space="preserve">, </t>
    </r>
    <r>
      <rPr>
        <sz val="10"/>
        <color indexed="60"/>
        <rFont val="Times New Roman"/>
        <family val="1"/>
      </rPr>
      <t>ТП-60 ф.3; ТП-631 ф.3; ТП-28 ф.8; ТП-464 ф.2.4; ТП-511 ф.3.4; ТП-430 ф.4; ТП-405 ф.8</t>
    </r>
  </si>
  <si>
    <t>перевод питания КЛ-10кВ с ТП-233 на КТП-233А; ТП250 до соед.муфтыф.РП-5/7-РА-6/5</t>
  </si>
  <si>
    <t>Вне плана: ТП-252, ТП-452, РТП-17, ТП-350, ТП-105. РТП-28</t>
  </si>
  <si>
    <t>Реконструкция вне плана: ф.РТП-24/11-КТП-10/9</t>
  </si>
  <si>
    <t>1/47</t>
  </si>
  <si>
    <t>1/49</t>
  </si>
  <si>
    <t>Зам. начальника ПТО</t>
  </si>
  <si>
    <t>О.С. Арапаева</t>
  </si>
  <si>
    <t xml:space="preserve">  за 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</si>
</sst>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13"/>
      <color indexed="12"/>
      <name val="Arial Cyr"/>
      <family val="2"/>
    </font>
    <font>
      <u val="single"/>
      <sz val="13"/>
      <color indexed="36"/>
      <name val="Arial Cyr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13" fillId="0" borderId="0" xfId="0" applyFont="1" applyAlignment="1">
      <alignment horizontal="justify"/>
    </xf>
    <xf numFmtId="49" fontId="3" fillId="34" borderId="10" xfId="0" applyNumberFormat="1" applyFont="1" applyFill="1" applyBorder="1" applyAlignment="1">
      <alignment horizontal="center" vertical="center" wrapText="1"/>
    </xf>
    <xf numFmtId="9" fontId="3" fillId="36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SheetLayoutView="100" zoomScalePageLayoutView="0" workbookViewId="0" topLeftCell="A7">
      <selection activeCell="G16" sqref="G16"/>
    </sheetView>
  </sheetViews>
  <sheetFormatPr defaultColWidth="9.00390625" defaultRowHeight="12.75"/>
  <cols>
    <col min="1" max="1" width="6.875" style="1" customWidth="1"/>
    <col min="2" max="2" width="44.75390625" style="1" customWidth="1"/>
    <col min="3" max="3" width="5.875" style="1" customWidth="1"/>
    <col min="4" max="4" width="0" style="1" hidden="1" customWidth="1"/>
    <col min="5" max="5" width="7.375" style="1" customWidth="1"/>
    <col min="6" max="6" width="7.875" style="1" customWidth="1"/>
    <col min="7" max="8" width="8.875" style="1" customWidth="1"/>
    <col min="9" max="10" width="11.75390625" style="1" customWidth="1"/>
    <col min="11" max="12" width="11.625" style="1" customWidth="1"/>
    <col min="13" max="13" width="20.75390625" style="36" customWidth="1"/>
    <col min="14" max="16384" width="9.00390625" style="1" customWidth="1"/>
  </cols>
  <sheetData>
    <row r="1" spans="1:12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15.75">
      <c r="A2" s="16"/>
      <c r="B2" s="40"/>
      <c r="C2" s="16"/>
      <c r="D2" s="16"/>
      <c r="E2" s="16"/>
      <c r="F2" s="16"/>
      <c r="G2" s="13"/>
      <c r="H2" s="13"/>
      <c r="I2" s="117" t="s">
        <v>2</v>
      </c>
      <c r="J2" s="117"/>
      <c r="K2" s="117"/>
      <c r="L2" s="117"/>
      <c r="M2" s="117"/>
    </row>
    <row r="3" spans="1:13" ht="15.75">
      <c r="A3" s="16"/>
      <c r="B3" s="13"/>
      <c r="C3" s="16"/>
      <c r="D3" s="16"/>
      <c r="E3" s="16"/>
      <c r="F3" s="16"/>
      <c r="G3" s="13"/>
      <c r="H3" s="13"/>
      <c r="I3" s="118" t="s">
        <v>128</v>
      </c>
      <c r="J3" s="118"/>
      <c r="K3" s="118"/>
      <c r="L3" s="118"/>
      <c r="M3" s="118"/>
    </row>
    <row r="4" spans="1:13" ht="15.75">
      <c r="A4" s="16"/>
      <c r="B4" s="13"/>
      <c r="C4" s="16"/>
      <c r="D4" s="16"/>
      <c r="E4" s="16"/>
      <c r="F4" s="16"/>
      <c r="G4" s="117" t="s">
        <v>129</v>
      </c>
      <c r="H4" s="117"/>
      <c r="I4" s="117"/>
      <c r="J4" s="117"/>
      <c r="K4" s="117"/>
      <c r="L4" s="117"/>
      <c r="M4" s="117"/>
    </row>
    <row r="5" spans="1:13" ht="15.75">
      <c r="A5" s="16"/>
      <c r="B5" s="16"/>
      <c r="C5" s="16"/>
      <c r="D5" s="16"/>
      <c r="E5" s="16"/>
      <c r="F5" s="16"/>
      <c r="G5" s="13"/>
      <c r="H5" s="13"/>
      <c r="I5" s="117" t="s">
        <v>95</v>
      </c>
      <c r="J5" s="117"/>
      <c r="K5" s="117"/>
      <c r="L5" s="117"/>
      <c r="M5" s="117"/>
    </row>
    <row r="6" spans="1:12" ht="12.75">
      <c r="A6" s="16"/>
      <c r="B6" s="16"/>
      <c r="C6" s="16"/>
      <c r="D6" s="16"/>
      <c r="E6" s="16"/>
      <c r="F6" s="16"/>
      <c r="G6" s="16"/>
      <c r="H6" s="16"/>
      <c r="I6" s="39"/>
      <c r="J6" s="39"/>
      <c r="K6" s="39"/>
      <c r="L6" s="39"/>
    </row>
    <row r="7" spans="1:12" ht="12.75">
      <c r="A7" s="119" t="s">
        <v>110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39"/>
    </row>
    <row r="8" spans="1:12" ht="12.75">
      <c r="A8" s="119" t="s">
        <v>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39"/>
    </row>
    <row r="9" spans="1:12" ht="12.75">
      <c r="A9" s="119" t="s">
        <v>141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39"/>
    </row>
    <row r="10" spans="1:13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63"/>
      <c r="M10" s="105"/>
    </row>
    <row r="11" spans="1:13" ht="12.75" customHeight="1">
      <c r="A11" s="115" t="s">
        <v>0</v>
      </c>
      <c r="B11" s="115" t="s">
        <v>4</v>
      </c>
      <c r="C11" s="115" t="s">
        <v>5</v>
      </c>
      <c r="D11" s="115" t="s">
        <v>6</v>
      </c>
      <c r="E11" s="125" t="s">
        <v>6</v>
      </c>
      <c r="F11" s="126"/>
      <c r="G11" s="120" t="s">
        <v>108</v>
      </c>
      <c r="H11" s="121"/>
      <c r="I11" s="121"/>
      <c r="J11" s="121"/>
      <c r="K11" s="121"/>
      <c r="L11" s="121"/>
      <c r="M11" s="122"/>
    </row>
    <row r="12" spans="1:13" ht="12.75" customHeight="1">
      <c r="A12" s="115"/>
      <c r="B12" s="115"/>
      <c r="C12" s="115"/>
      <c r="D12" s="115"/>
      <c r="E12" s="127"/>
      <c r="F12" s="128"/>
      <c r="G12" s="120" t="s">
        <v>89</v>
      </c>
      <c r="H12" s="122"/>
      <c r="I12" s="120" t="s">
        <v>7</v>
      </c>
      <c r="J12" s="121"/>
      <c r="K12" s="121"/>
      <c r="L12" s="121"/>
      <c r="M12" s="64"/>
    </row>
    <row r="13" spans="1:13" ht="51" customHeight="1">
      <c r="A13" s="115"/>
      <c r="B13" s="115"/>
      <c r="C13" s="115"/>
      <c r="D13" s="115"/>
      <c r="E13" s="12" t="s">
        <v>101</v>
      </c>
      <c r="F13" s="12" t="s">
        <v>102</v>
      </c>
      <c r="G13" s="37" t="s">
        <v>103</v>
      </c>
      <c r="H13" s="37" t="s">
        <v>102</v>
      </c>
      <c r="I13" s="37" t="s">
        <v>104</v>
      </c>
      <c r="J13" s="37" t="s">
        <v>105</v>
      </c>
      <c r="K13" s="37" t="s">
        <v>106</v>
      </c>
      <c r="L13" s="37" t="s">
        <v>107</v>
      </c>
      <c r="M13" s="38" t="s">
        <v>115</v>
      </c>
    </row>
    <row r="14" spans="1:13" ht="25.5">
      <c r="A14" s="86"/>
      <c r="B14" s="87" t="s">
        <v>117</v>
      </c>
      <c r="C14" s="88"/>
      <c r="D14" s="88"/>
      <c r="E14" s="88" t="s">
        <v>31</v>
      </c>
      <c r="F14" s="88"/>
      <c r="G14" s="89">
        <f>SUM(G15,G63,G67)</f>
        <v>103.6748</v>
      </c>
      <c r="H14" s="89">
        <f>SUM(J14,L14)</f>
        <v>103.47897603999999</v>
      </c>
      <c r="I14" s="89">
        <f>SUM(I63,I15,I67)</f>
        <v>79.0848</v>
      </c>
      <c r="J14" s="89">
        <f>SUM(J15,J63)</f>
        <v>103.47897603999999</v>
      </c>
      <c r="K14" s="89">
        <f>SUM(K63,K15,K67)</f>
        <v>24.589999999999996</v>
      </c>
      <c r="L14" s="89">
        <f>SUM(L15,L63,L67)</f>
        <v>0</v>
      </c>
      <c r="M14" s="112">
        <f>H14/G14</f>
        <v>0.9981111710849694</v>
      </c>
    </row>
    <row r="15" spans="1:13" ht="12.75">
      <c r="A15" s="82" t="s">
        <v>9</v>
      </c>
      <c r="B15" s="83" t="s">
        <v>10</v>
      </c>
      <c r="C15" s="80" t="s">
        <v>15</v>
      </c>
      <c r="D15" s="80"/>
      <c r="E15" s="78">
        <f>SUM(E47,E30,E25,E16)</f>
        <v>35.18000000000001</v>
      </c>
      <c r="F15" s="78">
        <f>F16+F25+F30+F47</f>
        <v>34.55600000000001</v>
      </c>
      <c r="G15" s="78">
        <f>SUM(G16,G58,G47,G30,G24)</f>
        <v>89.5048</v>
      </c>
      <c r="H15" s="78">
        <f>SUM(J15,L15)</f>
        <v>90.22607633</v>
      </c>
      <c r="I15" s="78">
        <f>SUM(I16,I58,I47,I30,I24)</f>
        <v>68.9148</v>
      </c>
      <c r="J15" s="78">
        <f>SUM(J25,J30,J47,J58,J67,J16)</f>
        <v>90.22607633</v>
      </c>
      <c r="K15" s="78">
        <f>SUM(K58,K47,K30,K24,K16)</f>
        <v>20.589999999999996</v>
      </c>
      <c r="L15" s="78">
        <f>SUM(L58,L47,L30,L25,L16)</f>
        <v>0</v>
      </c>
      <c r="M15" s="81"/>
    </row>
    <row r="16" spans="1:13" ht="42" customHeight="1">
      <c r="A16" s="90" t="s">
        <v>11</v>
      </c>
      <c r="B16" s="91" t="s">
        <v>12</v>
      </c>
      <c r="C16" s="84"/>
      <c r="D16" s="84"/>
      <c r="E16" s="74">
        <f>SUM(E17:E24)</f>
        <v>3.6300000000000003</v>
      </c>
      <c r="F16" s="107">
        <f>F17+F18+F19+F20+F21+F22+F23</f>
        <v>3.702000000000001</v>
      </c>
      <c r="G16" s="74">
        <f aca="true" t="shared" si="0" ref="G16:L16">SUM(G17:G23)</f>
        <v>7.925999999999999</v>
      </c>
      <c r="H16" s="74">
        <f>SUM(H17:H23)</f>
        <v>7.06353517</v>
      </c>
      <c r="I16" s="74">
        <f t="shared" si="0"/>
        <v>0.396</v>
      </c>
      <c r="J16" s="74">
        <f t="shared" si="0"/>
        <v>7.0632057900000005</v>
      </c>
      <c r="K16" s="74">
        <f t="shared" si="0"/>
        <v>7.529999999999999</v>
      </c>
      <c r="L16" s="74">
        <f t="shared" si="0"/>
        <v>0</v>
      </c>
      <c r="M16" s="85"/>
    </row>
    <row r="17" spans="1:13" s="7" customFormat="1" ht="12.75">
      <c r="A17" s="14">
        <v>1</v>
      </c>
      <c r="B17" s="58" t="s">
        <v>97</v>
      </c>
      <c r="C17" s="12" t="s">
        <v>15</v>
      </c>
      <c r="D17" s="12"/>
      <c r="E17" s="5">
        <v>0.2</v>
      </c>
      <c r="F17" s="5">
        <v>0.19</v>
      </c>
      <c r="G17" s="28">
        <v>0.47</v>
      </c>
      <c r="H17" s="9">
        <v>0.27</v>
      </c>
      <c r="I17" s="5"/>
      <c r="J17" s="28">
        <v>0.26757762</v>
      </c>
      <c r="K17" s="5">
        <v>0.47</v>
      </c>
      <c r="L17" s="28"/>
      <c r="M17" s="9" t="s">
        <v>43</v>
      </c>
    </row>
    <row r="18" spans="1:13" s="7" customFormat="1" ht="12.75">
      <c r="A18" s="14">
        <v>2</v>
      </c>
      <c r="B18" s="58" t="s">
        <v>98</v>
      </c>
      <c r="C18" s="12" t="s">
        <v>15</v>
      </c>
      <c r="D18" s="12"/>
      <c r="E18" s="5">
        <v>0.31</v>
      </c>
      <c r="F18" s="5">
        <v>0.31</v>
      </c>
      <c r="G18" s="28">
        <v>0.63</v>
      </c>
      <c r="H18" s="9">
        <v>0.45</v>
      </c>
      <c r="I18" s="5"/>
      <c r="J18" s="28">
        <v>0.452093</v>
      </c>
      <c r="K18" s="5">
        <v>0.63</v>
      </c>
      <c r="L18" s="28"/>
      <c r="M18" s="9" t="s">
        <v>99</v>
      </c>
    </row>
    <row r="19" spans="1:13" ht="12.75">
      <c r="A19" s="26" t="s">
        <v>24</v>
      </c>
      <c r="B19" s="41" t="s">
        <v>51</v>
      </c>
      <c r="C19" s="12" t="s">
        <v>15</v>
      </c>
      <c r="D19" s="6"/>
      <c r="E19" s="5">
        <v>1.26</v>
      </c>
      <c r="F19" s="5">
        <v>1.26</v>
      </c>
      <c r="G19" s="28">
        <v>2.48</v>
      </c>
      <c r="H19" s="9">
        <f>SUM(J19)</f>
        <v>2.34</v>
      </c>
      <c r="I19" s="5"/>
      <c r="J19" s="5">
        <v>2.34</v>
      </c>
      <c r="K19" s="5">
        <v>2.48</v>
      </c>
      <c r="L19" s="28"/>
      <c r="M19" s="9" t="s">
        <v>45</v>
      </c>
    </row>
    <row r="20" spans="1:13" ht="12.75">
      <c r="A20" s="26" t="s">
        <v>25</v>
      </c>
      <c r="B20" s="41" t="s">
        <v>52</v>
      </c>
      <c r="C20" s="12" t="s">
        <v>15</v>
      </c>
      <c r="D20" s="6"/>
      <c r="E20" s="5">
        <v>0.15</v>
      </c>
      <c r="F20" s="5">
        <v>0.247</v>
      </c>
      <c r="G20" s="28">
        <v>0.68</v>
      </c>
      <c r="H20" s="9">
        <f>SUM(J20)</f>
        <v>0.602023</v>
      </c>
      <c r="I20" s="5"/>
      <c r="J20" s="28">
        <f>0.058738+0.08147+0.461815</f>
        <v>0.602023</v>
      </c>
      <c r="K20" s="5">
        <v>0.68</v>
      </c>
      <c r="L20" s="28"/>
      <c r="M20" s="9" t="s">
        <v>43</v>
      </c>
    </row>
    <row r="21" spans="1:13" ht="12.75">
      <c r="A21" s="26" t="s">
        <v>26</v>
      </c>
      <c r="B21" s="41" t="s">
        <v>53</v>
      </c>
      <c r="C21" s="12" t="s">
        <v>15</v>
      </c>
      <c r="D21" s="6"/>
      <c r="E21" s="5">
        <v>1.06</v>
      </c>
      <c r="F21" s="5">
        <v>1.05</v>
      </c>
      <c r="G21" s="28">
        <v>2.1</v>
      </c>
      <c r="H21" s="9">
        <f>SUM(J21)</f>
        <v>1.97960577</v>
      </c>
      <c r="I21" s="5"/>
      <c r="J21" s="28">
        <f>1.866209+0.11339677</f>
        <v>1.97960577</v>
      </c>
      <c r="K21" s="5">
        <v>2.1</v>
      </c>
      <c r="L21" s="28"/>
      <c r="M21" s="9" t="s">
        <v>43</v>
      </c>
    </row>
    <row r="22" spans="1:13" ht="12.75">
      <c r="A22" s="26" t="s">
        <v>27</v>
      </c>
      <c r="B22" s="41" t="s">
        <v>42</v>
      </c>
      <c r="C22" s="12" t="s">
        <v>15</v>
      </c>
      <c r="D22" s="6"/>
      <c r="E22" s="5">
        <v>0.55</v>
      </c>
      <c r="F22" s="5">
        <v>0.53</v>
      </c>
      <c r="G22" s="28">
        <v>1.17</v>
      </c>
      <c r="H22" s="9">
        <f>SUM(J22)</f>
        <v>0.9467904</v>
      </c>
      <c r="I22" s="5"/>
      <c r="J22" s="28">
        <v>0.9467904</v>
      </c>
      <c r="K22" s="5">
        <v>1.17</v>
      </c>
      <c r="L22" s="28"/>
      <c r="M22" s="9" t="s">
        <v>43</v>
      </c>
    </row>
    <row r="23" spans="1:13" ht="25.5" customHeight="1">
      <c r="A23" s="106" t="s">
        <v>26</v>
      </c>
      <c r="B23" s="41" t="s">
        <v>134</v>
      </c>
      <c r="C23" s="12" t="s">
        <v>15</v>
      </c>
      <c r="D23" s="6"/>
      <c r="E23" s="5">
        <v>0.1</v>
      </c>
      <c r="F23" s="5">
        <v>0.115</v>
      </c>
      <c r="G23" s="28">
        <f>I23+K23</f>
        <v>0.396</v>
      </c>
      <c r="H23" s="9">
        <f>SUM(J23)</f>
        <v>0.475116</v>
      </c>
      <c r="I23" s="5">
        <f>E23*3.96</f>
        <v>0.396</v>
      </c>
      <c r="J23" s="5">
        <f>0.234045+0.241071</f>
        <v>0.475116</v>
      </c>
      <c r="K23" s="5"/>
      <c r="L23" s="28"/>
      <c r="M23" s="9" t="s">
        <v>43</v>
      </c>
    </row>
    <row r="24" spans="1:13" ht="0.75" customHeight="1" hidden="1">
      <c r="A24" s="129" t="s">
        <v>21</v>
      </c>
      <c r="B24" s="92"/>
      <c r="C24" s="116" t="s">
        <v>15</v>
      </c>
      <c r="D24" s="116"/>
      <c r="E24" s="93"/>
      <c r="F24" s="93"/>
      <c r="G24" s="114">
        <f>SUM(G26:G28)</f>
        <v>12.2</v>
      </c>
      <c r="H24" s="74"/>
      <c r="I24" s="114">
        <f>SUM(I26:I28)</f>
        <v>12.2</v>
      </c>
      <c r="J24" s="74"/>
      <c r="K24" s="114"/>
      <c r="L24" s="74"/>
      <c r="M24" s="116"/>
    </row>
    <row r="25" spans="1:13" s="7" customFormat="1" ht="12.75">
      <c r="A25" s="129"/>
      <c r="B25" s="73" t="s">
        <v>22</v>
      </c>
      <c r="C25" s="116"/>
      <c r="D25" s="116"/>
      <c r="E25" s="74">
        <f>SUM(E26:E28)</f>
        <v>5.87</v>
      </c>
      <c r="F25" s="74">
        <f>F26+F27+F28</f>
        <v>5.988</v>
      </c>
      <c r="G25" s="114"/>
      <c r="H25" s="74">
        <f>SUM(H26:H29)</f>
        <v>9.352311359999998</v>
      </c>
      <c r="I25" s="114"/>
      <c r="J25" s="74">
        <f>SUM(J26:J29)</f>
        <v>9.352311359999998</v>
      </c>
      <c r="K25" s="114"/>
      <c r="L25" s="74"/>
      <c r="M25" s="116"/>
    </row>
    <row r="26" spans="1:13" ht="12.75">
      <c r="A26" s="15" t="s">
        <v>28</v>
      </c>
      <c r="B26" s="42" t="s">
        <v>54</v>
      </c>
      <c r="C26" s="29" t="s">
        <v>15</v>
      </c>
      <c r="D26" s="3"/>
      <c r="E26" s="29">
        <v>2.84</v>
      </c>
      <c r="F26" s="29">
        <v>2.72</v>
      </c>
      <c r="G26" s="59">
        <v>5.3</v>
      </c>
      <c r="H26" s="59">
        <f>SUM(J26)</f>
        <v>4.302321</v>
      </c>
      <c r="I26" s="9">
        <v>5.3</v>
      </c>
      <c r="J26" s="59">
        <f>4.302321</f>
        <v>4.302321</v>
      </c>
      <c r="K26" s="9"/>
      <c r="L26" s="9"/>
      <c r="M26" s="9" t="s">
        <v>46</v>
      </c>
    </row>
    <row r="27" spans="1:13" ht="12.75">
      <c r="A27" s="43" t="s">
        <v>23</v>
      </c>
      <c r="B27" s="44" t="s">
        <v>34</v>
      </c>
      <c r="C27" s="29" t="s">
        <v>15</v>
      </c>
      <c r="D27" s="3"/>
      <c r="E27" s="29">
        <v>1.54</v>
      </c>
      <c r="F27" s="29">
        <v>1.648</v>
      </c>
      <c r="G27" s="59">
        <v>3.3</v>
      </c>
      <c r="H27" s="59">
        <f>SUM(J27)</f>
        <v>2.22399236</v>
      </c>
      <c r="I27" s="9">
        <v>3.3</v>
      </c>
      <c r="J27" s="59">
        <f>0.020578+2.20341436</f>
        <v>2.22399236</v>
      </c>
      <c r="K27" s="9"/>
      <c r="L27" s="9"/>
      <c r="M27" s="9" t="s">
        <v>46</v>
      </c>
    </row>
    <row r="28" spans="1:13" ht="12.75">
      <c r="A28" s="43" t="s">
        <v>24</v>
      </c>
      <c r="B28" s="44" t="s">
        <v>92</v>
      </c>
      <c r="C28" s="29" t="s">
        <v>15</v>
      </c>
      <c r="D28" s="3"/>
      <c r="E28" s="29">
        <v>1.49</v>
      </c>
      <c r="F28" s="29">
        <f>1.62</f>
        <v>1.62</v>
      </c>
      <c r="G28" s="59">
        <v>3.6</v>
      </c>
      <c r="H28" s="59">
        <f>SUM(J28)</f>
        <v>2.758726</v>
      </c>
      <c r="I28" s="9">
        <v>3.6</v>
      </c>
      <c r="J28" s="9">
        <f>2.758726</f>
        <v>2.758726</v>
      </c>
      <c r="K28" s="9"/>
      <c r="L28" s="9"/>
      <c r="M28" s="9" t="s">
        <v>46</v>
      </c>
    </row>
    <row r="29" spans="1:13" ht="12.75">
      <c r="A29" s="43" t="s">
        <v>25</v>
      </c>
      <c r="B29" s="44" t="s">
        <v>136</v>
      </c>
      <c r="C29" s="29"/>
      <c r="D29" s="3"/>
      <c r="E29" s="29"/>
      <c r="F29" s="29"/>
      <c r="G29" s="59"/>
      <c r="H29" s="59">
        <f>SUM(J29)</f>
        <v>0.067272</v>
      </c>
      <c r="I29" s="9"/>
      <c r="J29" s="9">
        <f>0.067272</f>
        <v>0.067272</v>
      </c>
      <c r="K29" s="9"/>
      <c r="L29" s="9"/>
      <c r="M29" s="9"/>
    </row>
    <row r="30" spans="1:13" ht="25.5">
      <c r="A30" s="94" t="s">
        <v>13</v>
      </c>
      <c r="B30" s="95" t="s">
        <v>16</v>
      </c>
      <c r="C30" s="96" t="s">
        <v>15</v>
      </c>
      <c r="D30" s="97"/>
      <c r="E30" s="97">
        <f>SUM(E31:E45)</f>
        <v>21.860000000000003</v>
      </c>
      <c r="F30" s="97">
        <f>F31+F32+F33+F34+F35+F36+F37+F38+F39+F40+F41+F42+F43+F44+F45+F46</f>
        <v>22.898000000000003</v>
      </c>
      <c r="G30" s="97">
        <f>SUM(G31:G45)</f>
        <v>51.52</v>
      </c>
      <c r="H30" s="97">
        <f>SUM(H31:H46)</f>
        <v>37.549752631999986</v>
      </c>
      <c r="I30" s="97">
        <f>SUM(I31:I45)</f>
        <v>44.330000000000005</v>
      </c>
      <c r="J30" s="97">
        <f>SUM(J31:J46)</f>
        <v>37.55107563199999</v>
      </c>
      <c r="K30" s="97">
        <f>SUM(K31:K43)</f>
        <v>7.1899999999999995</v>
      </c>
      <c r="L30" s="97">
        <f>SUM(L31:L46)</f>
        <v>0</v>
      </c>
      <c r="M30" s="97"/>
    </row>
    <row r="31" spans="1:13" ht="12.75">
      <c r="A31" s="45" t="s">
        <v>28</v>
      </c>
      <c r="B31" s="46" t="s">
        <v>66</v>
      </c>
      <c r="C31" s="9" t="s">
        <v>15</v>
      </c>
      <c r="D31" s="3"/>
      <c r="E31" s="6">
        <v>2.83</v>
      </c>
      <c r="F31" s="6">
        <f>0.083+1.317+0.642+0.685</f>
        <v>2.727</v>
      </c>
      <c r="G31" s="60">
        <v>5.3</v>
      </c>
      <c r="H31" s="60">
        <v>3.771</v>
      </c>
      <c r="I31" s="6">
        <v>5.3</v>
      </c>
      <c r="J31" s="60">
        <f>0.069127+1.744333+0.876118+1.082745</f>
        <v>3.772323</v>
      </c>
      <c r="K31" s="9"/>
      <c r="L31" s="9"/>
      <c r="M31" s="9" t="s">
        <v>44</v>
      </c>
    </row>
    <row r="32" spans="1:13" ht="12.75">
      <c r="A32" s="47" t="s">
        <v>23</v>
      </c>
      <c r="B32" s="57" t="s">
        <v>90</v>
      </c>
      <c r="C32" s="9" t="s">
        <v>15</v>
      </c>
      <c r="D32" s="3"/>
      <c r="E32" s="5">
        <v>0.7</v>
      </c>
      <c r="F32" s="5">
        <v>0.42</v>
      </c>
      <c r="G32" s="28">
        <v>1.42</v>
      </c>
      <c r="H32" s="28">
        <f>SUM(J32)</f>
        <v>1.08899772</v>
      </c>
      <c r="I32" s="5">
        <v>1.42</v>
      </c>
      <c r="J32" s="28">
        <f>0.128274+0.18026372+0.78046</f>
        <v>1.08899772</v>
      </c>
      <c r="K32" s="9"/>
      <c r="L32" s="9"/>
      <c r="M32" s="9" t="s">
        <v>43</v>
      </c>
    </row>
    <row r="33" spans="1:13" ht="12.75">
      <c r="A33" s="48" t="s">
        <v>24</v>
      </c>
      <c r="B33" s="57" t="s">
        <v>91</v>
      </c>
      <c r="C33" s="9" t="s">
        <v>15</v>
      </c>
      <c r="D33" s="3"/>
      <c r="E33" s="5">
        <v>1.3</v>
      </c>
      <c r="F33" s="5">
        <f>0.678</f>
        <v>0.678</v>
      </c>
      <c r="G33" s="28">
        <v>2.86</v>
      </c>
      <c r="H33" s="28">
        <f>SUM(J33)</f>
        <v>1.68982259</v>
      </c>
      <c r="I33" s="5">
        <v>2.86</v>
      </c>
      <c r="J33" s="28">
        <f>0.057279+0.12807632+0.72123627+0.783231</f>
        <v>1.68982259</v>
      </c>
      <c r="K33" s="9"/>
      <c r="L33" s="9"/>
      <c r="M33" s="9" t="s">
        <v>45</v>
      </c>
    </row>
    <row r="34" spans="1:13" ht="12.75">
      <c r="A34" s="48" t="s">
        <v>25</v>
      </c>
      <c r="B34" s="46" t="s">
        <v>70</v>
      </c>
      <c r="C34" s="9" t="s">
        <v>15</v>
      </c>
      <c r="D34" s="3"/>
      <c r="E34" s="5">
        <v>1.54</v>
      </c>
      <c r="F34" s="5">
        <f>1.218+0.434</f>
        <v>1.652</v>
      </c>
      <c r="G34" s="28">
        <f>I34+K34</f>
        <v>3.39</v>
      </c>
      <c r="H34" s="28">
        <f>SUM(J34)</f>
        <v>2.6318043799999997</v>
      </c>
      <c r="I34" s="5">
        <v>2.2</v>
      </c>
      <c r="J34" s="28">
        <f>0.26512438+0.678189+1.390823+0.297668</f>
        <v>2.6318043799999997</v>
      </c>
      <c r="K34" s="9">
        <v>1.19</v>
      </c>
      <c r="L34" s="9"/>
      <c r="M34" s="9" t="s">
        <v>45</v>
      </c>
    </row>
    <row r="35" spans="1:13" ht="12.75">
      <c r="A35" s="45" t="s">
        <v>26</v>
      </c>
      <c r="B35" s="46" t="s">
        <v>59</v>
      </c>
      <c r="C35" s="9" t="s">
        <v>15</v>
      </c>
      <c r="D35" s="3"/>
      <c r="E35" s="6">
        <v>1.25</v>
      </c>
      <c r="F35" s="6">
        <f>0.53+0.714</f>
        <v>1.244</v>
      </c>
      <c r="G35" s="60">
        <v>2.9</v>
      </c>
      <c r="H35" s="60">
        <f>J35</f>
        <v>1.9409669999999999</v>
      </c>
      <c r="I35" s="6">
        <v>2.9</v>
      </c>
      <c r="J35" s="60">
        <f>0.454658+0.394658+0.102136+0.560198+0.429317</f>
        <v>1.9409669999999999</v>
      </c>
      <c r="K35" s="11"/>
      <c r="L35" s="11"/>
      <c r="M35" s="9" t="s">
        <v>44</v>
      </c>
    </row>
    <row r="36" spans="1:13" ht="12.75">
      <c r="A36" s="45" t="s">
        <v>27</v>
      </c>
      <c r="B36" s="46" t="s">
        <v>60</v>
      </c>
      <c r="C36" s="9" t="s">
        <v>15</v>
      </c>
      <c r="D36" s="3"/>
      <c r="E36" s="6">
        <v>1.2</v>
      </c>
      <c r="F36" s="6">
        <f>0.42+1.109</f>
        <v>1.529</v>
      </c>
      <c r="G36" s="60">
        <v>3.18</v>
      </c>
      <c r="H36" s="60">
        <f>SUM(J36)</f>
        <v>2.14441475</v>
      </c>
      <c r="I36" s="6">
        <v>3.18</v>
      </c>
      <c r="J36" s="60">
        <f>2.06233373+0.04000426+0.04207676</f>
        <v>2.14441475</v>
      </c>
      <c r="K36" s="11"/>
      <c r="L36" s="11"/>
      <c r="M36" s="9" t="s">
        <v>44</v>
      </c>
    </row>
    <row r="37" spans="1:13" ht="12.75">
      <c r="A37" s="47" t="s">
        <v>30</v>
      </c>
      <c r="B37" s="46" t="s">
        <v>67</v>
      </c>
      <c r="C37" s="9" t="s">
        <v>15</v>
      </c>
      <c r="D37" s="3"/>
      <c r="E37" s="5">
        <v>3.7</v>
      </c>
      <c r="F37" s="5">
        <v>3.244</v>
      </c>
      <c r="G37" s="28">
        <f>I37+K37</f>
        <v>7.26</v>
      </c>
      <c r="H37" s="28">
        <f>J37+L37</f>
        <v>5.8596482000000005</v>
      </c>
      <c r="I37" s="5">
        <v>1.26</v>
      </c>
      <c r="J37" s="28">
        <f>5.73244806+0.06817746+0.02983083+0.02919185</f>
        <v>5.8596482000000005</v>
      </c>
      <c r="K37" s="9">
        <v>6</v>
      </c>
      <c r="L37" s="9"/>
      <c r="M37" s="9" t="s">
        <v>45</v>
      </c>
    </row>
    <row r="38" spans="1:13" ht="12.75">
      <c r="A38" s="18" t="s">
        <v>35</v>
      </c>
      <c r="B38" s="46" t="s">
        <v>61</v>
      </c>
      <c r="C38" s="9" t="s">
        <v>15</v>
      </c>
      <c r="D38" s="3"/>
      <c r="E38" s="6">
        <v>2.2</v>
      </c>
      <c r="F38" s="6">
        <v>1.97</v>
      </c>
      <c r="G38" s="60">
        <f>I38</f>
        <v>4.18</v>
      </c>
      <c r="H38" s="60">
        <f>SUM(J38)</f>
        <v>2.839224942</v>
      </c>
      <c r="I38" s="6">
        <v>4.18</v>
      </c>
      <c r="J38" s="60">
        <f>0.954128392+0.96141343+0.92368312</f>
        <v>2.839224942</v>
      </c>
      <c r="K38" s="11"/>
      <c r="L38" s="11"/>
      <c r="M38" s="9" t="s">
        <v>43</v>
      </c>
    </row>
    <row r="39" spans="1:13" ht="12.75">
      <c r="A39" s="45" t="s">
        <v>36</v>
      </c>
      <c r="B39" s="46" t="s">
        <v>62</v>
      </c>
      <c r="C39" s="9" t="s">
        <v>15</v>
      </c>
      <c r="D39" s="3"/>
      <c r="E39" s="6">
        <v>0.9</v>
      </c>
      <c r="F39" s="6">
        <v>0.6</v>
      </c>
      <c r="G39" s="60">
        <v>1.57</v>
      </c>
      <c r="H39" s="60">
        <f>SUM(J39)</f>
        <v>1.35928255</v>
      </c>
      <c r="I39" s="6">
        <v>1.57</v>
      </c>
      <c r="J39" s="60">
        <f>1.35928255</f>
        <v>1.35928255</v>
      </c>
      <c r="K39" s="11"/>
      <c r="L39" s="11"/>
      <c r="M39" s="9" t="s">
        <v>43</v>
      </c>
    </row>
    <row r="40" spans="1:13" ht="12.75">
      <c r="A40" s="45" t="s">
        <v>37</v>
      </c>
      <c r="B40" s="46" t="s">
        <v>68</v>
      </c>
      <c r="C40" s="9" t="s">
        <v>15</v>
      </c>
      <c r="D40" s="3"/>
      <c r="E40" s="6">
        <v>1.7</v>
      </c>
      <c r="F40" s="6">
        <v>0.806</v>
      </c>
      <c r="G40" s="60">
        <v>2.84</v>
      </c>
      <c r="H40" s="60">
        <f>J40</f>
        <v>1.74967005</v>
      </c>
      <c r="I40" s="6">
        <v>2.84</v>
      </c>
      <c r="J40" s="60">
        <f>1.74967005</f>
        <v>1.74967005</v>
      </c>
      <c r="K40" s="11"/>
      <c r="L40" s="11"/>
      <c r="M40" s="9" t="s">
        <v>44</v>
      </c>
    </row>
    <row r="41" spans="1:13" ht="12.75">
      <c r="A41" s="47" t="s">
        <v>38</v>
      </c>
      <c r="B41" s="49" t="s">
        <v>63</v>
      </c>
      <c r="C41" s="9" t="s">
        <v>15</v>
      </c>
      <c r="D41" s="3"/>
      <c r="E41" s="5">
        <v>1.08</v>
      </c>
      <c r="F41" s="5">
        <v>1.03</v>
      </c>
      <c r="G41" s="28">
        <v>2.4</v>
      </c>
      <c r="H41" s="28">
        <f>SUM(J41)</f>
        <v>1.64177419</v>
      </c>
      <c r="I41" s="5">
        <v>2.4</v>
      </c>
      <c r="J41" s="28">
        <f>0.081048+1.56072619</f>
        <v>1.64177419</v>
      </c>
      <c r="K41" s="9"/>
      <c r="L41" s="9"/>
      <c r="M41" s="9" t="s">
        <v>44</v>
      </c>
    </row>
    <row r="42" spans="1:13" ht="12.75">
      <c r="A42" s="47" t="s">
        <v>39</v>
      </c>
      <c r="B42" s="49" t="s">
        <v>64</v>
      </c>
      <c r="C42" s="9" t="s">
        <v>15</v>
      </c>
      <c r="D42" s="9"/>
      <c r="E42" s="5">
        <v>1.1</v>
      </c>
      <c r="F42" s="5">
        <v>0.93</v>
      </c>
      <c r="G42" s="28">
        <v>2.19</v>
      </c>
      <c r="H42" s="28">
        <f>SUM(J42)</f>
        <v>1.75840606</v>
      </c>
      <c r="I42" s="5">
        <v>2.19</v>
      </c>
      <c r="J42" s="28">
        <f>0.070492+1.68791406</f>
        <v>1.75840606</v>
      </c>
      <c r="K42" s="9"/>
      <c r="L42" s="9"/>
      <c r="M42" s="9" t="s">
        <v>44</v>
      </c>
    </row>
    <row r="43" spans="1:13" ht="12.75">
      <c r="A43" s="47" t="s">
        <v>40</v>
      </c>
      <c r="B43" s="49" t="s">
        <v>65</v>
      </c>
      <c r="C43" s="9" t="s">
        <v>15</v>
      </c>
      <c r="D43" s="9"/>
      <c r="E43" s="5">
        <v>0.76</v>
      </c>
      <c r="F43" s="5">
        <v>0.66</v>
      </c>
      <c r="G43" s="28">
        <v>1.42</v>
      </c>
      <c r="H43" s="28">
        <f>J43</f>
        <v>1.2383420299999999</v>
      </c>
      <c r="I43" s="5">
        <v>1.42</v>
      </c>
      <c r="J43" s="28">
        <f>0.050225+1.18811703</f>
        <v>1.2383420299999999</v>
      </c>
      <c r="K43" s="9" t="s">
        <v>31</v>
      </c>
      <c r="L43" s="9"/>
      <c r="M43" s="9" t="s">
        <v>43</v>
      </c>
    </row>
    <row r="44" spans="1:13" ht="12.75">
      <c r="A44" s="47" t="s">
        <v>57</v>
      </c>
      <c r="B44" s="50" t="s">
        <v>69</v>
      </c>
      <c r="C44" s="5" t="s">
        <v>15</v>
      </c>
      <c r="D44" s="6"/>
      <c r="E44" s="17" t="s">
        <v>96</v>
      </c>
      <c r="F44" s="6">
        <f>0.881+0.414+1.4</f>
        <v>2.695</v>
      </c>
      <c r="G44" s="28">
        <v>7.85</v>
      </c>
      <c r="H44" s="28">
        <f>SUM(J44)</f>
        <v>5.568483</v>
      </c>
      <c r="I44" s="5">
        <v>7.85</v>
      </c>
      <c r="J44" s="28">
        <f>0.668156+0.200993+1.296922+0.680031+2.039077+0.131986+0.399484+0.015853+0.135981</f>
        <v>5.568483</v>
      </c>
      <c r="K44" s="5"/>
      <c r="L44" s="5"/>
      <c r="M44" s="9" t="s">
        <v>50</v>
      </c>
    </row>
    <row r="45" spans="1:13" ht="12.75">
      <c r="A45" s="47" t="s">
        <v>58</v>
      </c>
      <c r="B45" s="50" t="s">
        <v>71</v>
      </c>
      <c r="C45" s="5" t="s">
        <v>15</v>
      </c>
      <c r="D45" s="27"/>
      <c r="E45" s="25">
        <v>1.6</v>
      </c>
      <c r="F45" s="25">
        <v>1.55</v>
      </c>
      <c r="G45" s="60">
        <v>2.76</v>
      </c>
      <c r="H45" s="60">
        <f>SUM(J45)</f>
        <v>1.90229126</v>
      </c>
      <c r="I45" s="6">
        <v>2.76</v>
      </c>
      <c r="J45" s="60">
        <f>1.90229126</f>
        <v>1.90229126</v>
      </c>
      <c r="K45" s="28"/>
      <c r="L45" s="28"/>
      <c r="M45" s="9" t="s">
        <v>50</v>
      </c>
    </row>
    <row r="46" spans="1:13" ht="36.75" customHeight="1">
      <c r="A46" s="47" t="s">
        <v>109</v>
      </c>
      <c r="B46" s="50" t="s">
        <v>133</v>
      </c>
      <c r="C46" s="5" t="s">
        <v>15</v>
      </c>
      <c r="D46" s="27"/>
      <c r="E46" s="25"/>
      <c r="F46" s="25">
        <f>0.125+0.24+0.24+0.17+0.142+0.1+0.146</f>
        <v>1.163</v>
      </c>
      <c r="G46" s="60"/>
      <c r="H46" s="28">
        <f>SUM(J46)</f>
        <v>0.36562391</v>
      </c>
      <c r="I46" s="6"/>
      <c r="J46" s="28">
        <f>0.05243533+0.05707528+0.04439392+0.00614488+0.02544933+0.017735+0.01692374+0.02923148+0.049418+0.01207395+0.054743</f>
        <v>0.36562391</v>
      </c>
      <c r="K46" s="28"/>
      <c r="L46" s="28"/>
      <c r="M46" s="9"/>
    </row>
    <row r="47" spans="1:13" ht="12.75">
      <c r="A47" s="98" t="s">
        <v>14</v>
      </c>
      <c r="B47" s="99" t="s">
        <v>1</v>
      </c>
      <c r="C47" s="74" t="s">
        <v>15</v>
      </c>
      <c r="D47" s="74"/>
      <c r="E47" s="74">
        <f>E48+E49+E57</f>
        <v>3.8200000000000003</v>
      </c>
      <c r="F47" s="74">
        <f>F48+F49</f>
        <v>1.968</v>
      </c>
      <c r="G47" s="74">
        <f>I47+K47</f>
        <v>7.168799999999999</v>
      </c>
      <c r="H47" s="74">
        <f>SUM(H48:H49)</f>
        <v>3.88891898</v>
      </c>
      <c r="I47" s="74">
        <f>I48+I49+I57</f>
        <v>6.748799999999999</v>
      </c>
      <c r="J47" s="74">
        <f>J48+J49</f>
        <v>3.88891898</v>
      </c>
      <c r="K47" s="74">
        <f>SUM(K48:K49)</f>
        <v>0.42</v>
      </c>
      <c r="L47" s="74">
        <f>SUM(L48:L57)</f>
        <v>0</v>
      </c>
      <c r="M47" s="74"/>
    </row>
    <row r="48" spans="1:13" ht="25.5">
      <c r="A48" s="17" t="s">
        <v>28</v>
      </c>
      <c r="B48" s="20" t="s">
        <v>100</v>
      </c>
      <c r="C48" s="9" t="s">
        <v>15</v>
      </c>
      <c r="D48" s="9"/>
      <c r="E48" s="9">
        <v>2.5</v>
      </c>
      <c r="F48" s="9">
        <f>0.57+0.024+0.045</f>
        <v>0.639</v>
      </c>
      <c r="G48" s="9">
        <f>I48+K48</f>
        <v>4.2</v>
      </c>
      <c r="H48" s="9">
        <f>SUM(J48,L48)</f>
        <v>1.083955</v>
      </c>
      <c r="I48" s="9">
        <v>3.78</v>
      </c>
      <c r="J48" s="9">
        <f>0.07907739+0.03742598+0.00901529+0.02359839+0.032027+0.02047304+0.01212407+0.01698796+0.02958222+0.02633409+0.02958222+0.02697621+0.05197432+0.06+0.042895+0.10920982+0.068177+0.114371+0.157635+0.060237+0.076252</f>
        <v>1.083955</v>
      </c>
      <c r="K48" s="5">
        <v>0.42</v>
      </c>
      <c r="L48" s="5"/>
      <c r="M48" s="9" t="s">
        <v>93</v>
      </c>
    </row>
    <row r="49" spans="1:13" ht="25.5">
      <c r="A49" s="17" t="s">
        <v>23</v>
      </c>
      <c r="B49" s="20" t="s">
        <v>56</v>
      </c>
      <c r="C49" s="9" t="s">
        <v>15</v>
      </c>
      <c r="D49" s="9"/>
      <c r="E49" s="9">
        <f>E50+E51+E52+E53+E54+E55+E56</f>
        <v>0.74</v>
      </c>
      <c r="F49" s="9">
        <f>F50+F51+F52+F53+F54+F55+F56+F57</f>
        <v>1.329</v>
      </c>
      <c r="G49" s="9">
        <f>G50+G51+G52+G53+G54+G55+G56</f>
        <v>1.4202</v>
      </c>
      <c r="H49" s="9">
        <f>SUM(J49,L49)</f>
        <v>2.80496398</v>
      </c>
      <c r="I49" s="9">
        <f>I50+I51+I52+I53+I54+I55+I56</f>
        <v>1.4202</v>
      </c>
      <c r="J49" s="9">
        <f>J50+J51+J52+J53+J54+J55+J56+J57</f>
        <v>2.80496398</v>
      </c>
      <c r="K49" s="5"/>
      <c r="L49" s="5"/>
      <c r="M49" s="9" t="s">
        <v>93</v>
      </c>
    </row>
    <row r="50" spans="1:13" ht="12.75">
      <c r="A50" s="17" t="s">
        <v>76</v>
      </c>
      <c r="B50" s="51" t="s">
        <v>83</v>
      </c>
      <c r="C50" s="5" t="s">
        <v>15</v>
      </c>
      <c r="D50" s="5"/>
      <c r="E50" s="52">
        <v>0.06</v>
      </c>
      <c r="F50" s="52">
        <f>0.05</f>
        <v>0.05</v>
      </c>
      <c r="G50" s="59">
        <f>I50+K50</f>
        <v>0.16019999999999998</v>
      </c>
      <c r="H50" s="59">
        <f>SUM(J50)</f>
        <v>0.088023</v>
      </c>
      <c r="I50" s="9">
        <f>2.67*E50</f>
        <v>0.16019999999999998</v>
      </c>
      <c r="J50" s="9">
        <f>0.088023</f>
        <v>0.088023</v>
      </c>
      <c r="K50" s="5"/>
      <c r="L50" s="5"/>
      <c r="M50" s="9" t="s">
        <v>93</v>
      </c>
    </row>
    <row r="51" spans="1:13" ht="12.75">
      <c r="A51" s="17" t="s">
        <v>77</v>
      </c>
      <c r="B51" s="51" t="s">
        <v>84</v>
      </c>
      <c r="C51" s="5" t="s">
        <v>15</v>
      </c>
      <c r="D51" s="5"/>
      <c r="E51" s="52">
        <v>0.16</v>
      </c>
      <c r="F51" s="52">
        <f>0.141</f>
        <v>0.141</v>
      </c>
      <c r="G51" s="59">
        <f aca="true" t="shared" si="1" ref="G51:G57">I51+K51</f>
        <v>0.26</v>
      </c>
      <c r="H51" s="59">
        <f>SUM(J51)</f>
        <v>0.132643</v>
      </c>
      <c r="I51" s="9">
        <v>0.26</v>
      </c>
      <c r="J51" s="9">
        <f>0.132643</f>
        <v>0.132643</v>
      </c>
      <c r="K51" s="5"/>
      <c r="L51" s="5"/>
      <c r="M51" s="9" t="s">
        <v>93</v>
      </c>
    </row>
    <row r="52" spans="1:13" ht="12.75">
      <c r="A52" s="17" t="s">
        <v>78</v>
      </c>
      <c r="B52" s="51" t="s">
        <v>72</v>
      </c>
      <c r="C52" s="5" t="s">
        <v>15</v>
      </c>
      <c r="D52" s="5"/>
      <c r="E52" s="52">
        <v>0.09</v>
      </c>
      <c r="F52" s="108">
        <v>0.078</v>
      </c>
      <c r="G52" s="59">
        <f>I52+K52</f>
        <v>0.19</v>
      </c>
      <c r="H52" s="59">
        <v>0.16870269</v>
      </c>
      <c r="I52" s="9">
        <v>0.19</v>
      </c>
      <c r="J52" s="59">
        <v>0.16870269</v>
      </c>
      <c r="K52" s="5"/>
      <c r="L52" s="5"/>
      <c r="M52" s="9" t="s">
        <v>93</v>
      </c>
    </row>
    <row r="53" spans="1:13" ht="14.25" customHeight="1">
      <c r="A53" s="17" t="s">
        <v>79</v>
      </c>
      <c r="B53" s="53" t="s">
        <v>73</v>
      </c>
      <c r="C53" s="5" t="s">
        <v>15</v>
      </c>
      <c r="D53" s="5"/>
      <c r="E53" s="52">
        <v>0.08</v>
      </c>
      <c r="F53" s="52">
        <v>0.115</v>
      </c>
      <c r="G53" s="59">
        <f>I53</f>
        <v>0.18</v>
      </c>
      <c r="H53" s="59">
        <f>J53+L53</f>
        <v>0.19309561</v>
      </c>
      <c r="I53" s="9">
        <v>0.18</v>
      </c>
      <c r="J53" s="59">
        <f>0.19309561</f>
        <v>0.19309561</v>
      </c>
      <c r="K53" s="5"/>
      <c r="L53" s="5"/>
      <c r="M53" s="9" t="s">
        <v>93</v>
      </c>
    </row>
    <row r="54" spans="1:13" ht="12.75">
      <c r="A54" s="17" t="s">
        <v>80</v>
      </c>
      <c r="B54" s="51" t="s">
        <v>74</v>
      </c>
      <c r="C54" s="5" t="s">
        <v>15</v>
      </c>
      <c r="D54" s="5"/>
      <c r="E54" s="52">
        <v>0.15</v>
      </c>
      <c r="F54" s="52">
        <v>0.15</v>
      </c>
      <c r="G54" s="59">
        <f t="shared" si="1"/>
        <v>0.28</v>
      </c>
      <c r="H54" s="59">
        <f>J54</f>
        <v>0.2403143</v>
      </c>
      <c r="I54" s="9">
        <v>0.28</v>
      </c>
      <c r="J54" s="59">
        <v>0.2403143</v>
      </c>
      <c r="K54" s="5"/>
      <c r="L54" s="5"/>
      <c r="M54" s="9" t="s">
        <v>93</v>
      </c>
    </row>
    <row r="55" spans="1:13" ht="12.75">
      <c r="A55" s="17" t="s">
        <v>81</v>
      </c>
      <c r="B55" s="51" t="s">
        <v>75</v>
      </c>
      <c r="C55" s="5" t="s">
        <v>15</v>
      </c>
      <c r="D55" s="5"/>
      <c r="E55" s="52">
        <v>0.09</v>
      </c>
      <c r="F55" s="52">
        <f>0.084</f>
        <v>0.084</v>
      </c>
      <c r="G55" s="59">
        <f t="shared" si="1"/>
        <v>0.14</v>
      </c>
      <c r="H55" s="59">
        <f>SUM(J55)</f>
        <v>0.128988</v>
      </c>
      <c r="I55" s="9">
        <v>0.14</v>
      </c>
      <c r="J55" s="59">
        <f>0.128988</f>
        <v>0.128988</v>
      </c>
      <c r="K55" s="5"/>
      <c r="L55" s="5"/>
      <c r="M55" s="9" t="s">
        <v>93</v>
      </c>
    </row>
    <row r="56" spans="1:13" ht="12.75">
      <c r="A56" s="17" t="s">
        <v>82</v>
      </c>
      <c r="B56" s="51" t="s">
        <v>85</v>
      </c>
      <c r="C56" s="5" t="s">
        <v>15</v>
      </c>
      <c r="D56" s="5"/>
      <c r="E56" s="52">
        <v>0.11</v>
      </c>
      <c r="F56" s="52">
        <f>0.098</f>
        <v>0.098</v>
      </c>
      <c r="G56" s="59">
        <f t="shared" si="1"/>
        <v>0.21</v>
      </c>
      <c r="H56" s="59">
        <f>SUM(J56)</f>
        <v>0.177913</v>
      </c>
      <c r="I56" s="9">
        <v>0.21</v>
      </c>
      <c r="J56" s="59">
        <f>0.177913</f>
        <v>0.177913</v>
      </c>
      <c r="K56" s="5"/>
      <c r="L56" s="5"/>
      <c r="M56" s="9" t="s">
        <v>93</v>
      </c>
    </row>
    <row r="57" spans="1:13" ht="38.25">
      <c r="A57" s="17" t="s">
        <v>24</v>
      </c>
      <c r="B57" s="53" t="s">
        <v>122</v>
      </c>
      <c r="C57" s="5" t="s">
        <v>15</v>
      </c>
      <c r="D57" s="5"/>
      <c r="E57" s="52">
        <v>0.58</v>
      </c>
      <c r="F57" s="52">
        <f>0.11+0.503</f>
        <v>0.613</v>
      </c>
      <c r="G57" s="59">
        <f t="shared" si="1"/>
        <v>1.5485999999999998</v>
      </c>
      <c r="H57" s="59">
        <f>J57</f>
        <v>1.6752843800000001</v>
      </c>
      <c r="I57" s="9">
        <f>2.67*E57</f>
        <v>1.5485999999999998</v>
      </c>
      <c r="J57" s="59">
        <f>0.05984975+0.67481902+0.94061561</f>
        <v>1.6752843800000001</v>
      </c>
      <c r="K57" s="5"/>
      <c r="L57" s="5"/>
      <c r="M57" s="9" t="s">
        <v>93</v>
      </c>
    </row>
    <row r="58" spans="1:13" ht="12.75">
      <c r="A58" s="72" t="s">
        <v>18</v>
      </c>
      <c r="B58" s="99" t="s">
        <v>20</v>
      </c>
      <c r="C58" s="74" t="s">
        <v>29</v>
      </c>
      <c r="D58" s="74"/>
      <c r="E58" s="111" t="s">
        <v>137</v>
      </c>
      <c r="F58" s="111" t="s">
        <v>138</v>
      </c>
      <c r="G58" s="74">
        <f>SUM(G59:G61)</f>
        <v>10.690000000000001</v>
      </c>
      <c r="H58" s="74">
        <f>SUM(H59:H62)</f>
        <v>28.040274568</v>
      </c>
      <c r="I58" s="74">
        <f>I59+I60+I61</f>
        <v>5.24</v>
      </c>
      <c r="J58" s="74">
        <f>SUM(J59:J62)</f>
        <v>28.040274568</v>
      </c>
      <c r="K58" s="74">
        <f>SUM(K59:K61)</f>
        <v>5.449999999999999</v>
      </c>
      <c r="L58" s="74">
        <f>SUM(L59:L61)</f>
        <v>0</v>
      </c>
      <c r="M58" s="75"/>
    </row>
    <row r="59" spans="1:13" ht="25.5">
      <c r="A59" s="15" t="s">
        <v>28</v>
      </c>
      <c r="B59" s="4" t="s">
        <v>94</v>
      </c>
      <c r="C59" s="9" t="s">
        <v>17</v>
      </c>
      <c r="D59" s="9"/>
      <c r="E59" s="10" t="s">
        <v>28</v>
      </c>
      <c r="F59" s="10" t="s">
        <v>28</v>
      </c>
      <c r="G59" s="59">
        <f>I59+K59</f>
        <v>5.29</v>
      </c>
      <c r="H59" s="9">
        <f>J59</f>
        <v>2.905776478</v>
      </c>
      <c r="I59" s="9">
        <v>0.44</v>
      </c>
      <c r="J59" s="59">
        <f>0.098526968+0.28589351+2.521356</f>
        <v>2.905776478</v>
      </c>
      <c r="K59" s="9">
        <v>4.85</v>
      </c>
      <c r="L59" s="9"/>
      <c r="M59" s="9" t="s">
        <v>47</v>
      </c>
    </row>
    <row r="60" spans="1:13" s="54" customFormat="1" ht="27.75" customHeight="1">
      <c r="A60" s="15" t="s">
        <v>23</v>
      </c>
      <c r="B60" s="55" t="s">
        <v>130</v>
      </c>
      <c r="C60" s="5" t="s">
        <v>41</v>
      </c>
      <c r="D60" s="5"/>
      <c r="E60" s="15" t="s">
        <v>87</v>
      </c>
      <c r="F60" s="15" t="s">
        <v>131</v>
      </c>
      <c r="G60" s="28">
        <v>1.6</v>
      </c>
      <c r="H60" s="9">
        <f>SUM(J60,L60)</f>
        <v>2.073652</v>
      </c>
      <c r="I60" s="5">
        <v>1.6</v>
      </c>
      <c r="J60" s="28">
        <f>0.279065+0.278251+0.278758+0.277247+0.960331</f>
        <v>2.073652</v>
      </c>
      <c r="K60" s="5"/>
      <c r="L60" s="5"/>
      <c r="M60" s="5" t="s">
        <v>48</v>
      </c>
    </row>
    <row r="61" spans="1:13" ht="25.5">
      <c r="A61" s="15" t="s">
        <v>24</v>
      </c>
      <c r="B61" s="22" t="s">
        <v>116</v>
      </c>
      <c r="C61" s="9" t="s">
        <v>41</v>
      </c>
      <c r="D61" s="9"/>
      <c r="E61" s="10" t="s">
        <v>88</v>
      </c>
      <c r="F61" s="10" t="s">
        <v>132</v>
      </c>
      <c r="G61" s="59">
        <f>I61+K61</f>
        <v>3.8000000000000003</v>
      </c>
      <c r="H61" s="9">
        <f>SUM(J61,L61)</f>
        <v>3.994997</v>
      </c>
      <c r="I61" s="9">
        <v>3.2</v>
      </c>
      <c r="J61" s="59">
        <f>1.83+0.602302+0.864695+0.33+0.098+0.23+0.04</f>
        <v>3.994997</v>
      </c>
      <c r="K61" s="9">
        <v>0.6</v>
      </c>
      <c r="L61" s="59"/>
      <c r="M61" s="21" t="s">
        <v>49</v>
      </c>
    </row>
    <row r="62" spans="1:13" ht="25.5">
      <c r="A62" s="15"/>
      <c r="B62" s="22" t="s">
        <v>135</v>
      </c>
      <c r="C62" s="9"/>
      <c r="D62" s="9"/>
      <c r="E62" s="10"/>
      <c r="F62" s="10"/>
      <c r="G62" s="59"/>
      <c r="H62" s="9">
        <f>J62</f>
        <v>19.06584909</v>
      </c>
      <c r="I62" s="9"/>
      <c r="J62" s="59">
        <f>0.12145968+0.00728441+0.013+0.152441+1.341236+0.627989+16.802439</f>
        <v>19.06584909</v>
      </c>
      <c r="K62" s="9"/>
      <c r="L62" s="59"/>
      <c r="M62" s="21"/>
    </row>
    <row r="63" spans="1:13" ht="12.75">
      <c r="A63" s="76" t="s">
        <v>19</v>
      </c>
      <c r="B63" s="77" t="s">
        <v>3</v>
      </c>
      <c r="C63" s="78"/>
      <c r="D63" s="78"/>
      <c r="E63" s="78"/>
      <c r="F63" s="78"/>
      <c r="G63" s="78">
        <f>SUM(G64:G66)</f>
        <v>10.37</v>
      </c>
      <c r="H63" s="78">
        <f>SUM(H64:H66)</f>
        <v>13.25289971</v>
      </c>
      <c r="I63" s="78">
        <f>SUM(I64:I66)</f>
        <v>10.17</v>
      </c>
      <c r="J63" s="78">
        <f>J64+J65+J66</f>
        <v>13.25289971</v>
      </c>
      <c r="K63" s="78">
        <f>SUM(K64:K65)</f>
        <v>0.2</v>
      </c>
      <c r="L63" s="78">
        <f>L64+L65+L66</f>
        <v>0</v>
      </c>
      <c r="M63" s="79"/>
    </row>
    <row r="64" spans="1:13" ht="25.5">
      <c r="A64" s="15" t="s">
        <v>28</v>
      </c>
      <c r="B64" s="4" t="s">
        <v>125</v>
      </c>
      <c r="C64" s="9"/>
      <c r="D64" s="5"/>
      <c r="E64" s="5"/>
      <c r="F64" s="5"/>
      <c r="G64" s="5">
        <v>0.2</v>
      </c>
      <c r="H64" s="5">
        <f>J64+L64</f>
        <v>1.75</v>
      </c>
      <c r="I64" s="19"/>
      <c r="J64" s="5">
        <v>1.75</v>
      </c>
      <c r="K64" s="5">
        <v>0.2</v>
      </c>
      <c r="L64" s="5"/>
      <c r="M64" s="21" t="s">
        <v>49</v>
      </c>
    </row>
    <row r="65" spans="1:13" ht="12.75">
      <c r="A65" s="15" t="s">
        <v>23</v>
      </c>
      <c r="B65" s="4" t="s">
        <v>55</v>
      </c>
      <c r="C65" s="9"/>
      <c r="D65" s="5"/>
      <c r="E65" s="5"/>
      <c r="F65" s="5"/>
      <c r="G65" s="5">
        <f>I65</f>
        <v>9.17</v>
      </c>
      <c r="H65" s="5">
        <f>J65+L65</f>
        <v>10.63234171</v>
      </c>
      <c r="I65" s="5">
        <v>9.17</v>
      </c>
      <c r="J65" s="5">
        <f>0.37409738+0.2705095+0.17062128+0.081128+0.38587773+0.30354645+0.10053722+0.104894+0.08757759+0.092093+0.10279489+0.02205466+0.040371+0.04825725+0.081441+0.026201+0.60588698+0.39051383+0.21579458+0.51069127+0.56893587+0.27858747+0.08321537+0.10231405+0.300106+0.33173098+0.17282347+0.071744+0.100355+0.177565+0.102314+0.072927+0.215273+0.09057+0.084564+0.082353+0.070139+0.108066+0.067806+0.067803+0.123876+0.018219+0.131838+0.048851+0.065139+0.116051+0.074574+0.079376+0.327911+0.516115+0.17933+0.082447+0.23381+0.083655+0.082651+0.165832+0.082447+0.578174+0.20614+0.07034189+0.033063+0.043714+0.049039+0.075667</f>
        <v>10.63234171</v>
      </c>
      <c r="K65" s="5"/>
      <c r="L65" s="5"/>
      <c r="M65" s="21" t="s">
        <v>49</v>
      </c>
    </row>
    <row r="66" spans="1:13" ht="24">
      <c r="A66" s="15" t="s">
        <v>24</v>
      </c>
      <c r="B66" s="56" t="s">
        <v>114</v>
      </c>
      <c r="C66" s="9"/>
      <c r="D66" s="5"/>
      <c r="E66" s="5"/>
      <c r="F66" s="5"/>
      <c r="G66" s="5">
        <v>1</v>
      </c>
      <c r="H66" s="5">
        <f>J66+L66</f>
        <v>0.8705579999999998</v>
      </c>
      <c r="I66" s="5">
        <v>1</v>
      </c>
      <c r="J66" s="28">
        <f>0.16732+0.177831+0.046243+0.272404+0.085707+0.019917+0.021715+0.039403+0.040018</f>
        <v>0.8705579999999998</v>
      </c>
      <c r="K66" s="5"/>
      <c r="L66" s="5"/>
      <c r="M66" s="21"/>
    </row>
    <row r="67" spans="1:13" ht="12.75">
      <c r="A67" s="100" t="s">
        <v>113</v>
      </c>
      <c r="B67" s="91" t="s">
        <v>33</v>
      </c>
      <c r="C67" s="101"/>
      <c r="D67" s="101"/>
      <c r="E67" s="98"/>
      <c r="F67" s="98"/>
      <c r="G67" s="74">
        <f aca="true" t="shared" si="2" ref="G67:L67">SUM(G68:G69)</f>
        <v>3.8</v>
      </c>
      <c r="H67" s="74">
        <f>SUM(H68:H69)</f>
        <v>4.33029</v>
      </c>
      <c r="I67" s="74">
        <f t="shared" si="2"/>
        <v>0</v>
      </c>
      <c r="J67" s="74">
        <f t="shared" si="2"/>
        <v>4.33029</v>
      </c>
      <c r="K67" s="74">
        <f t="shared" si="2"/>
        <v>3.8</v>
      </c>
      <c r="L67" s="74">
        <f t="shared" si="2"/>
        <v>0</v>
      </c>
      <c r="M67" s="102"/>
    </row>
    <row r="68" spans="1:13" ht="38.25">
      <c r="A68" s="15" t="s">
        <v>28</v>
      </c>
      <c r="B68" s="23" t="s">
        <v>32</v>
      </c>
      <c r="C68" s="5" t="s">
        <v>17</v>
      </c>
      <c r="D68" s="6"/>
      <c r="E68" s="15" t="s">
        <v>25</v>
      </c>
      <c r="F68" s="15" t="s">
        <v>24</v>
      </c>
      <c r="G68" s="5">
        <v>2</v>
      </c>
      <c r="H68" s="5">
        <f>SUM(J68)</f>
        <v>1.87147</v>
      </c>
      <c r="I68" s="19"/>
      <c r="J68" s="5">
        <f>0.727296+0.547551+0.596623</f>
        <v>1.87147</v>
      </c>
      <c r="K68" s="5">
        <v>2</v>
      </c>
      <c r="L68" s="5"/>
      <c r="M68" s="21" t="s">
        <v>49</v>
      </c>
    </row>
    <row r="69" spans="1:13" ht="24" customHeight="1">
      <c r="A69" s="15" t="s">
        <v>23</v>
      </c>
      <c r="B69" s="24" t="s">
        <v>86</v>
      </c>
      <c r="C69" s="5" t="s">
        <v>17</v>
      </c>
      <c r="D69" s="6"/>
      <c r="E69" s="15" t="s">
        <v>27</v>
      </c>
      <c r="F69" s="15" t="s">
        <v>35</v>
      </c>
      <c r="G69" s="5">
        <v>1.8</v>
      </c>
      <c r="H69" s="5">
        <f>J69+L69</f>
        <v>2.45882</v>
      </c>
      <c r="I69" s="19"/>
      <c r="J69" s="5">
        <f>1.19+0.32882+0.94</f>
        <v>2.45882</v>
      </c>
      <c r="K69" s="5">
        <v>1.8</v>
      </c>
      <c r="L69" s="28"/>
      <c r="M69" s="21" t="s">
        <v>49</v>
      </c>
    </row>
    <row r="70" spans="1:13" ht="12.75">
      <c r="A70" s="65" t="s">
        <v>111</v>
      </c>
      <c r="B70" s="66" t="s">
        <v>112</v>
      </c>
      <c r="C70" s="67"/>
      <c r="D70" s="68"/>
      <c r="E70" s="69"/>
      <c r="F70" s="69"/>
      <c r="G70" s="70">
        <v>20</v>
      </c>
      <c r="H70" s="70">
        <v>20</v>
      </c>
      <c r="I70" s="70"/>
      <c r="J70" s="67"/>
      <c r="K70" s="70"/>
      <c r="L70" s="78"/>
      <c r="M70" s="71"/>
    </row>
    <row r="71" spans="1:13" ht="12.75">
      <c r="A71" s="65" t="s">
        <v>118</v>
      </c>
      <c r="B71" s="66" t="s">
        <v>120</v>
      </c>
      <c r="C71" s="67"/>
      <c r="D71" s="68"/>
      <c r="E71" s="69"/>
      <c r="F71" s="69"/>
      <c r="G71" s="70"/>
      <c r="H71" s="70">
        <v>104.08</v>
      </c>
      <c r="I71" s="70"/>
      <c r="J71" s="67"/>
      <c r="K71" s="70"/>
      <c r="L71" s="78"/>
      <c r="M71" s="71"/>
    </row>
    <row r="72" spans="1:13" ht="25.5">
      <c r="A72" s="65" t="s">
        <v>119</v>
      </c>
      <c r="B72" s="66" t="s">
        <v>121</v>
      </c>
      <c r="C72" s="67"/>
      <c r="D72" s="68"/>
      <c r="E72" s="69"/>
      <c r="F72" s="69"/>
      <c r="G72" s="70"/>
      <c r="H72" s="70">
        <v>22.34</v>
      </c>
      <c r="I72" s="70"/>
      <c r="J72" s="67"/>
      <c r="K72" s="70"/>
      <c r="L72" s="78"/>
      <c r="M72" s="71"/>
    </row>
    <row r="73" spans="1:12" ht="12.75">
      <c r="A73" s="2"/>
      <c r="B73" s="30"/>
      <c r="C73" s="31"/>
      <c r="D73" s="32"/>
      <c r="E73" s="33"/>
      <c r="F73" s="33"/>
      <c r="G73" s="34"/>
      <c r="H73" s="34"/>
      <c r="I73" s="34"/>
      <c r="J73" s="34"/>
      <c r="K73" s="35"/>
      <c r="L73" s="35"/>
    </row>
    <row r="74" spans="1:13" ht="15">
      <c r="A74" s="2"/>
      <c r="B74" s="30" t="s">
        <v>123</v>
      </c>
      <c r="C74" s="109"/>
      <c r="D74" s="109"/>
      <c r="E74" s="104"/>
      <c r="F74" s="110"/>
      <c r="G74" s="124" t="s">
        <v>124</v>
      </c>
      <c r="H74" s="124"/>
      <c r="I74" s="32"/>
      <c r="J74" s="61"/>
      <c r="K74" s="61"/>
      <c r="L74" s="61"/>
      <c r="M74" s="61"/>
    </row>
    <row r="75" spans="1:13" ht="15">
      <c r="A75" s="2"/>
      <c r="B75" s="30"/>
      <c r="C75" s="109"/>
      <c r="D75" s="109"/>
      <c r="E75" s="104"/>
      <c r="F75" s="110"/>
      <c r="G75" s="104"/>
      <c r="H75" s="104"/>
      <c r="I75" s="32"/>
      <c r="J75" s="61"/>
      <c r="K75" s="61"/>
      <c r="L75" s="61"/>
      <c r="M75" s="61"/>
    </row>
    <row r="76" spans="1:13" ht="15">
      <c r="A76" s="2"/>
      <c r="B76" s="30" t="s">
        <v>126</v>
      </c>
      <c r="C76" s="109"/>
      <c r="D76" s="109"/>
      <c r="E76" s="104"/>
      <c r="F76" s="110"/>
      <c r="G76" s="113" t="s">
        <v>127</v>
      </c>
      <c r="H76" s="113"/>
      <c r="I76" s="32"/>
      <c r="J76" s="61"/>
      <c r="K76" s="61"/>
      <c r="L76" s="61"/>
      <c r="M76" s="61"/>
    </row>
    <row r="77" spans="1:13" ht="15">
      <c r="A77" s="2"/>
      <c r="B77" s="30"/>
      <c r="C77" s="31"/>
      <c r="D77" s="34"/>
      <c r="E77" s="103"/>
      <c r="F77" s="103"/>
      <c r="G77" s="104"/>
      <c r="H77" s="104"/>
      <c r="I77" s="32"/>
      <c r="K77" s="62"/>
      <c r="L77" s="62"/>
      <c r="M77" s="62"/>
    </row>
    <row r="78" spans="1:13" ht="12.75">
      <c r="A78" s="8"/>
      <c r="B78" s="30" t="s">
        <v>139</v>
      </c>
      <c r="G78" s="104" t="s">
        <v>140</v>
      </c>
      <c r="K78" s="35"/>
      <c r="L78" s="35"/>
      <c r="M78" s="1"/>
    </row>
    <row r="79" ht="12.75">
      <c r="M79" s="1"/>
    </row>
  </sheetData>
  <sheetProtection/>
  <mergeCells count="25">
    <mergeCell ref="G74:H74"/>
    <mergeCell ref="G24:G25"/>
    <mergeCell ref="E11:F12"/>
    <mergeCell ref="G12:H12"/>
    <mergeCell ref="C24:C25"/>
    <mergeCell ref="A24:A25"/>
    <mergeCell ref="A11:A13"/>
    <mergeCell ref="I3:M3"/>
    <mergeCell ref="A7:K7"/>
    <mergeCell ref="A8:K8"/>
    <mergeCell ref="G11:M11"/>
    <mergeCell ref="I12:L12"/>
    <mergeCell ref="A9:K9"/>
    <mergeCell ref="A10:K10"/>
    <mergeCell ref="B11:B13"/>
    <mergeCell ref="G76:H76"/>
    <mergeCell ref="K24:K25"/>
    <mergeCell ref="C11:C13"/>
    <mergeCell ref="D24:D25"/>
    <mergeCell ref="D11:D13"/>
    <mergeCell ref="I2:M2"/>
    <mergeCell ref="G4:M4"/>
    <mergeCell ref="I5:M5"/>
    <mergeCell ref="M24:M25"/>
    <mergeCell ref="I24:I25"/>
  </mergeCells>
  <printOptions/>
  <pageMargins left="0.39" right="0.7875" top="0.31" bottom="0.28" header="0.27" footer="0.31"/>
  <pageSetup horizontalDpi="300" verticalDpi="300" orientation="landscape" paperSize="9" scale="84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pto12</cp:lastModifiedBy>
  <cp:lastPrinted>2015-01-20T02:48:34Z</cp:lastPrinted>
  <dcterms:created xsi:type="dcterms:W3CDTF">2009-03-11T00:38:42Z</dcterms:created>
  <dcterms:modified xsi:type="dcterms:W3CDTF">2015-01-29T03:51:54Z</dcterms:modified>
  <cp:category/>
  <cp:version/>
  <cp:contentType/>
  <cp:contentStatus/>
</cp:coreProperties>
</file>